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uth/Documents/Environment/Solar/"/>
    </mc:Choice>
  </mc:AlternateContent>
  <xr:revisionPtr revIDLastSave="0" documentId="13_ncr:1_{8CC66616-0343-9C47-81D3-D2C648DB3E94}" xr6:coauthVersionLast="47" xr6:coauthVersionMax="47" xr10:uidLastSave="{00000000-0000-0000-0000-000000000000}"/>
  <bookViews>
    <workbookView xWindow="5000" yWindow="500" windowWidth="23800" windowHeight="17500" tabRatio="896" xr2:uid="{00000000-000D-0000-FFFF-FFFF00000000}"/>
  </bookViews>
  <sheets>
    <sheet name="Model" sheetId="1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7" l="1"/>
  <c r="B7" i="17"/>
  <c r="F17" i="17"/>
  <c r="F4" i="17" l="1"/>
  <c r="B39" i="17" l="1"/>
  <c r="B34" i="17"/>
  <c r="B33" i="17"/>
  <c r="F22" i="17"/>
  <c r="F25" i="17" s="1"/>
  <c r="B16" i="17"/>
  <c r="B14" i="17"/>
  <c r="B40" i="17" l="1"/>
  <c r="B15" i="17" s="1"/>
  <c r="B18" i="17" s="1"/>
  <c r="B43" i="17"/>
  <c r="B44" i="17"/>
  <c r="B38" i="17"/>
  <c r="B13" i="17"/>
  <c r="B12" i="17"/>
  <c r="B11" i="17"/>
  <c r="B19" i="17" l="1"/>
  <c r="B20" i="17" s="1"/>
  <c r="B22" i="17" s="1"/>
  <c r="B23" i="17" l="1"/>
  <c r="B24" i="17" s="1"/>
</calcChain>
</file>

<file path=xl/sharedStrings.xml><?xml version="1.0" encoding="utf-8"?>
<sst xmlns="http://schemas.openxmlformats.org/spreadsheetml/2006/main" count="59" uniqueCount="57">
  <si>
    <r>
      <t xml:space="preserve">Values in blue </t>
    </r>
    <r>
      <rPr>
        <sz val="11"/>
        <color rgb="FFFF0000"/>
        <rFont val="Calibri"/>
        <family val="2"/>
      </rPr>
      <t>and red</t>
    </r>
    <r>
      <rPr>
        <sz val="11"/>
        <color rgb="FF00B0F0"/>
        <rFont val="Calibri"/>
        <family val="2"/>
      </rPr>
      <t xml:space="preserve"> should be adjusted</t>
    </r>
  </si>
  <si>
    <t>Costs/Income</t>
  </si>
  <si>
    <t>Notes:</t>
  </si>
  <si>
    <t>Project</t>
  </si>
  <si>
    <t>Array size (kW)</t>
  </si>
  <si>
    <t>Usage History</t>
  </si>
  <si>
    <t>Total solar investment (Install &amp; O&amp;M)</t>
  </si>
  <si>
    <t>Annual production (kWh)</t>
  </si>
  <si>
    <t>Financial benefits</t>
  </si>
  <si>
    <t>30% ITC</t>
  </si>
  <si>
    <t>Additional tax credits (US-made, LMI, Comm org)</t>
  </si>
  <si>
    <t>~30% credit due to depreciation loss; deduction on income</t>
  </si>
  <si>
    <t>State tax depreciation effect</t>
  </si>
  <si>
    <t>Income from solar electricity over full term</t>
  </si>
  <si>
    <t>Total SREC income</t>
  </si>
  <si>
    <t>Sale of arrays at FMV</t>
  </si>
  <si>
    <t>12-month total</t>
  </si>
  <si>
    <t>Federal tax on solar income and sale of arrays</t>
  </si>
  <si>
    <t>State tax on income</t>
  </si>
  <si>
    <t>Rate</t>
  </si>
  <si>
    <t>June Billing</t>
  </si>
  <si>
    <t>Net financial benefit to investor</t>
  </si>
  <si>
    <t>Net Billing</t>
  </si>
  <si>
    <t>Gross $/kWh Rate</t>
  </si>
  <si>
    <t>Customer Inputs</t>
  </si>
  <si>
    <t>Number of years:</t>
  </si>
  <si>
    <t>Electricity rate (per kWhr):</t>
  </si>
  <si>
    <t>Increase in electricity cost per year (escalator)</t>
  </si>
  <si>
    <t>Federal tax rate:</t>
  </si>
  <si>
    <t>State tax rate</t>
  </si>
  <si>
    <t>Solar ITC</t>
  </si>
  <si>
    <t>SREC price</t>
  </si>
  <si>
    <t>Outputs</t>
  </si>
  <si>
    <t>Income/cost ratio:</t>
  </si>
  <si>
    <t>Annual solar income (first year)</t>
  </si>
  <si>
    <t>Total income over life of term</t>
  </si>
  <si>
    <t>Ratio MWh/kW</t>
  </si>
  <si>
    <t>Approx "Monthly" payment</t>
  </si>
  <si>
    <t>Approx Quarterly payment</t>
  </si>
  <si>
    <t>Customer (Fixed) Charge</t>
  </si>
  <si>
    <t>Total benefit over full term as %</t>
  </si>
  <si>
    <t>Mo 00</t>
  </si>
  <si>
    <t>Mo 03</t>
  </si>
  <si>
    <t>Mo 05</t>
  </si>
  <si>
    <t>Mo 06</t>
  </si>
  <si>
    <t>Mo 07</t>
  </si>
  <si>
    <t>Mo 08</t>
  </si>
  <si>
    <t>Mo 09</t>
  </si>
  <si>
    <t>Mo 10</t>
  </si>
  <si>
    <t>Mo 11</t>
  </si>
  <si>
    <t>Mo 12</t>
  </si>
  <si>
    <t>Mo 13</t>
  </si>
  <si>
    <t>Cost per W (with 10 years warranty/maintenance)</t>
  </si>
  <si>
    <t>After-tax profit per year</t>
  </si>
  <si>
    <t>Values in black are calculated</t>
  </si>
  <si>
    <t>Parameters</t>
  </si>
  <si>
    <t>Total benefit over 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</si>
</sst>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  <numFmt numFmtId="166" formatCode="0.0%"/>
    <numFmt numFmtId="167" formatCode="_(&quot;$&quot;* #,##0.0000_);_(&quot;$&quot;* \(#,##0.0000\);_(&quot;$&quot;* &quot;-&quot;??_);_(@_)"/>
    <numFmt numFmtId="168" formatCode="_(* #,##0.0_);_(* \(#,##0.0\);_(* &quot;-&quot;??_);_(@_)"/>
    <numFmt numFmtId="169" formatCode="_(* #,##0.0000_);_(* \(#,##0.0000\);_(* &quot;-&quot;??_);_(@_)"/>
    <numFmt numFmtId="170" formatCode="0.0000"/>
  </numFmts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Source Sans Pro"/>
      <family val="2"/>
    </font>
    <font>
      <sz val="11"/>
      <color theme="4"/>
      <name val="Calibri"/>
      <family val="2"/>
    </font>
    <font>
      <sz val="11"/>
      <name val="Calibri"/>
      <family val="2"/>
    </font>
    <font>
      <b/>
      <sz val="11"/>
      <color theme="1"/>
      <name val="Source Sans Pro"/>
      <family val="2"/>
    </font>
    <font>
      <sz val="11"/>
      <color rgb="FFFF0000"/>
      <name val="Calibri"/>
      <family val="2"/>
    </font>
    <font>
      <u/>
      <sz val="11"/>
      <color theme="10"/>
      <name val="Source Sans Pro"/>
      <family val="2"/>
    </font>
    <font>
      <sz val="11"/>
      <color rgb="FF00B0F0"/>
      <name val="Calibri"/>
      <family val="2"/>
    </font>
    <font>
      <sz val="8"/>
      <name val="Calibri"/>
      <family val="2"/>
      <scheme val="minor"/>
    </font>
    <font>
      <sz val="11"/>
      <name val="Source Sans Pro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4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49">
    <xf numFmtId="0" fontId="0" fillId="0" borderId="0" xfId="0"/>
    <xf numFmtId="0" fontId="3" fillId="0" borderId="2" xfId="1" applyFont="1" applyBorder="1"/>
    <xf numFmtId="0" fontId="3" fillId="0" borderId="2" xfId="1" applyFont="1" applyBorder="1" applyAlignment="1">
      <alignment horizontal="center"/>
    </xf>
    <xf numFmtId="0" fontId="2" fillId="0" borderId="0" xfId="1" applyFont="1" applyAlignment="1">
      <alignment wrapText="1"/>
    </xf>
    <xf numFmtId="0" fontId="4" fillId="0" borderId="0" xfId="2"/>
    <xf numFmtId="0" fontId="2" fillId="0" borderId="0" xfId="1" applyFont="1"/>
    <xf numFmtId="0" fontId="3" fillId="0" borderId="0" xfId="1" applyFont="1"/>
    <xf numFmtId="0" fontId="3" fillId="0" borderId="0" xfId="1" applyFont="1" applyAlignment="1">
      <alignment horizontal="center"/>
    </xf>
    <xf numFmtId="165" fontId="5" fillId="0" borderId="0" xfId="3" applyNumberFormat="1" applyFont="1"/>
    <xf numFmtId="165" fontId="2" fillId="0" borderId="0" xfId="3" applyNumberFormat="1" applyFont="1"/>
    <xf numFmtId="164" fontId="2" fillId="0" borderId="0" xfId="4" applyNumberFormat="1" applyFont="1"/>
    <xf numFmtId="165" fontId="6" fillId="0" borderId="0" xfId="3" applyNumberFormat="1" applyFont="1"/>
    <xf numFmtId="164" fontId="5" fillId="0" borderId="0" xfId="4" applyNumberFormat="1" applyFont="1"/>
    <xf numFmtId="0" fontId="2" fillId="0" borderId="0" xfId="1" applyFont="1" applyAlignment="1">
      <alignment horizontal="center"/>
    </xf>
    <xf numFmtId="10" fontId="5" fillId="0" borderId="0" xfId="5" applyNumberFormat="1" applyFont="1" applyAlignment="1"/>
    <xf numFmtId="0" fontId="3" fillId="0" borderId="2" xfId="1" applyFont="1" applyBorder="1" applyAlignment="1">
      <alignment wrapText="1"/>
    </xf>
    <xf numFmtId="165" fontId="2" fillId="0" borderId="2" xfId="3" applyNumberFormat="1" applyFont="1" applyBorder="1"/>
    <xf numFmtId="164" fontId="2" fillId="0" borderId="0" xfId="4" applyNumberFormat="1" applyFont="1" applyBorder="1"/>
    <xf numFmtId="164" fontId="2" fillId="0" borderId="0" xfId="4" applyNumberFormat="1" applyFont="1" applyAlignment="1"/>
    <xf numFmtId="164" fontId="2" fillId="0" borderId="0" xfId="4" applyNumberFormat="1" applyFont="1" applyFill="1"/>
    <xf numFmtId="0" fontId="7" fillId="0" borderId="0" xfId="2" applyFont="1"/>
    <xf numFmtId="0" fontId="2" fillId="0" borderId="1" xfId="1" applyFont="1" applyBorder="1" applyAlignment="1">
      <alignment wrapText="1"/>
    </xf>
    <xf numFmtId="164" fontId="2" fillId="0" borderId="1" xfId="4" applyNumberFormat="1" applyFont="1" applyBorder="1"/>
    <xf numFmtId="165" fontId="2" fillId="0" borderId="1" xfId="3" applyNumberFormat="1" applyFont="1" applyBorder="1"/>
    <xf numFmtId="8" fontId="2" fillId="0" borderId="0" xfId="1" applyNumberFormat="1" applyFont="1"/>
    <xf numFmtId="169" fontId="2" fillId="0" borderId="0" xfId="4" applyNumberFormat="1" applyFont="1"/>
    <xf numFmtId="0" fontId="3" fillId="0" borderId="0" xfId="1" applyFont="1" applyAlignment="1">
      <alignment wrapText="1"/>
    </xf>
    <xf numFmtId="9" fontId="2" fillId="0" borderId="0" xfId="5" applyFont="1"/>
    <xf numFmtId="166" fontId="2" fillId="0" borderId="0" xfId="5" applyNumberFormat="1" applyFont="1"/>
    <xf numFmtId="170" fontId="7" fillId="0" borderId="0" xfId="2" applyNumberFormat="1" applyFont="1"/>
    <xf numFmtId="168" fontId="8" fillId="0" borderId="0" xfId="4" applyNumberFormat="1" applyFont="1"/>
    <xf numFmtId="167" fontId="8" fillId="0" borderId="0" xfId="3" applyNumberFormat="1" applyFont="1" applyAlignment="1"/>
    <xf numFmtId="167" fontId="5" fillId="0" borderId="0" xfId="3" applyNumberFormat="1" applyFont="1" applyAlignment="1"/>
    <xf numFmtId="9" fontId="8" fillId="0" borderId="0" xfId="5" applyFont="1"/>
    <xf numFmtId="0" fontId="9" fillId="0" borderId="0" xfId="6" applyAlignment="1">
      <alignment wrapText="1"/>
    </xf>
    <xf numFmtId="9" fontId="8" fillId="0" borderId="0" xfId="5" applyFont="1" applyAlignment="1"/>
    <xf numFmtId="164" fontId="9" fillId="0" borderId="0" xfId="6" applyNumberFormat="1" applyAlignment="1"/>
    <xf numFmtId="165" fontId="2" fillId="0" borderId="0" xfId="3" applyNumberFormat="1" applyFont="1" applyAlignment="1"/>
    <xf numFmtId="43" fontId="2" fillId="0" borderId="0" xfId="4" applyFont="1"/>
    <xf numFmtId="164" fontId="2" fillId="0" borderId="0" xfId="4" applyNumberFormat="1" applyFont="1" applyAlignment="1">
      <alignment wrapText="1"/>
    </xf>
    <xf numFmtId="0" fontId="10" fillId="0" borderId="0" xfId="1" applyFont="1" applyAlignment="1">
      <alignment horizontal="right"/>
    </xf>
    <xf numFmtId="165" fontId="10" fillId="0" borderId="0" xfId="3" applyNumberFormat="1" applyFont="1"/>
    <xf numFmtId="164" fontId="10" fillId="0" borderId="0" xfId="4" applyNumberFormat="1" applyFont="1"/>
    <xf numFmtId="10" fontId="10" fillId="0" borderId="0" xfId="5" applyNumberFormat="1" applyFont="1" applyAlignment="1"/>
    <xf numFmtId="9" fontId="10" fillId="0" borderId="0" xfId="5" applyFont="1" applyAlignment="1"/>
    <xf numFmtId="0" fontId="12" fillId="0" borderId="0" xfId="2" applyFont="1"/>
    <xf numFmtId="43" fontId="10" fillId="0" borderId="0" xfId="4" applyFont="1"/>
    <xf numFmtId="44" fontId="10" fillId="0" borderId="0" xfId="1" applyNumberFormat="1" applyFont="1" applyAlignment="1">
      <alignment horizontal="center"/>
    </xf>
    <xf numFmtId="0" fontId="2" fillId="0" borderId="0" xfId="1" applyFont="1" applyBorder="1"/>
  </cellXfs>
  <cellStyles count="8">
    <cellStyle name="Comma 3" xfId="4" xr:uid="{393990A2-8B5C-4443-B1DD-A2DEBBA0E100}"/>
    <cellStyle name="Currency 2" xfId="7" xr:uid="{A128765A-60EA-4A16-9A50-0A60159DCA22}"/>
    <cellStyle name="Currency 3" xfId="3" xr:uid="{E9740A3F-E5E4-4BD0-9E42-C5F6019DE460}"/>
    <cellStyle name="Hyperlink 2" xfId="6" xr:uid="{E6408B8C-1F40-4FD4-8000-4E1406F0002A}"/>
    <cellStyle name="Normal" xfId="0" builtinId="0"/>
    <cellStyle name="Normal 2" xfId="2" xr:uid="{92CE9949-C887-497D-BD03-CC3DCE3E62DB}"/>
    <cellStyle name="Normal 5" xfId="1" xr:uid="{401A0C4C-86D2-4894-9392-1C38EC8D753D}"/>
    <cellStyle name="Percent 3" xfId="5" xr:uid="{F89C369C-823B-4F7A-8861-E69B278856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316B6-BAE3-4B12-9E7D-3FCC616622D0}">
  <sheetPr>
    <tabColor theme="7"/>
  </sheetPr>
  <dimension ref="A1:K57"/>
  <sheetViews>
    <sheetView tabSelected="1" zoomScale="172" zoomScaleNormal="100" workbookViewId="0">
      <selection activeCell="B40" sqref="B40"/>
    </sheetView>
  </sheetViews>
  <sheetFormatPr baseColWidth="10" defaultColWidth="11" defaultRowHeight="15" x14ac:dyDescent="0.2"/>
  <cols>
    <col min="1" max="1" width="50.33203125" style="5" customWidth="1"/>
    <col min="2" max="2" width="17" style="10" customWidth="1"/>
    <col min="3" max="3" width="13.1640625" style="10" customWidth="1"/>
    <col min="4" max="4" width="85.6640625" style="3" customWidth="1"/>
    <col min="5" max="5" width="21.5" style="5" customWidth="1"/>
    <col min="6" max="6" width="9.1640625" style="5" customWidth="1"/>
    <col min="7" max="7" width="16.33203125" style="5" customWidth="1"/>
    <col min="8" max="16384" width="11" style="5"/>
  </cols>
  <sheetData>
    <row r="1" spans="1:8" x14ac:dyDescent="0.2">
      <c r="A1" s="42" t="s">
        <v>0</v>
      </c>
    </row>
    <row r="2" spans="1:8" x14ac:dyDescent="0.2">
      <c r="A2" s="48" t="s">
        <v>54</v>
      </c>
      <c r="F2" s="10"/>
      <c r="G2" s="10"/>
      <c r="H2" s="10"/>
    </row>
    <row r="3" spans="1:8" x14ac:dyDescent="0.2">
      <c r="A3" s="48"/>
      <c r="F3" s="10"/>
      <c r="G3" s="10"/>
      <c r="H3" s="10"/>
    </row>
    <row r="4" spans="1:8" ht="16" thickBot="1" x14ac:dyDescent="0.25">
      <c r="A4" s="1" t="s">
        <v>55</v>
      </c>
      <c r="B4" s="2" t="s">
        <v>1</v>
      </c>
      <c r="C4" s="1" t="s">
        <v>2</v>
      </c>
      <c r="E4" s="4" t="s">
        <v>3</v>
      </c>
      <c r="F4" s="45" t="e">
        <f>#REF!</f>
        <v>#REF!</v>
      </c>
    </row>
    <row r="5" spans="1:8" ht="16" x14ac:dyDescent="0.2">
      <c r="A5" s="3" t="s">
        <v>6</v>
      </c>
      <c r="B5" s="11">
        <f>B8*B6*1000</f>
        <v>1200000</v>
      </c>
      <c r="E5" s="6" t="s">
        <v>5</v>
      </c>
      <c r="F5" s="4"/>
      <c r="G5" s="7"/>
    </row>
    <row r="6" spans="1:8" x14ac:dyDescent="0.2">
      <c r="A6" s="5" t="s">
        <v>4</v>
      </c>
      <c r="B6" s="40">
        <v>500</v>
      </c>
      <c r="C6" s="6"/>
      <c r="E6" s="4" t="s">
        <v>41</v>
      </c>
      <c r="F6" s="40"/>
    </row>
    <row r="7" spans="1:8" ht="16" x14ac:dyDescent="0.2">
      <c r="A7" s="3" t="s">
        <v>7</v>
      </c>
      <c r="B7" s="10">
        <f>B6*B35*1000</f>
        <v>650000</v>
      </c>
      <c r="D7" s="5"/>
      <c r="E7" s="4" t="s">
        <v>42</v>
      </c>
      <c r="F7">
        <v>6329</v>
      </c>
    </row>
    <row r="8" spans="1:8" ht="16" x14ac:dyDescent="0.2">
      <c r="A8" s="5" t="s">
        <v>52</v>
      </c>
      <c r="B8" s="47">
        <v>2.4</v>
      </c>
      <c r="C8" s="6"/>
      <c r="E8" s="4" t="s">
        <v>43</v>
      </c>
      <c r="F8">
        <v>6822</v>
      </c>
    </row>
    <row r="9" spans="1:8" ht="17" customHeight="1" x14ac:dyDescent="0.2">
      <c r="A9" s="3"/>
      <c r="B9" s="14"/>
      <c r="E9" s="4" t="s">
        <v>44</v>
      </c>
      <c r="F9">
        <v>7865</v>
      </c>
      <c r="G9" s="13"/>
    </row>
    <row r="10" spans="1:8" ht="17" thickBot="1" x14ac:dyDescent="0.25">
      <c r="A10" s="15" t="s">
        <v>8</v>
      </c>
      <c r="B10" s="16"/>
      <c r="E10" s="4" t="s">
        <v>45</v>
      </c>
      <c r="F10">
        <v>6485</v>
      </c>
      <c r="G10" s="17"/>
      <c r="H10" s="17"/>
    </row>
    <row r="11" spans="1:8" ht="16" x14ac:dyDescent="0.2">
      <c r="A11" s="3" t="s">
        <v>9</v>
      </c>
      <c r="B11" s="9">
        <f>B5*B32</f>
        <v>360000</v>
      </c>
      <c r="E11" s="4" t="s">
        <v>46</v>
      </c>
      <c r="F11">
        <v>8177</v>
      </c>
      <c r="G11" s="17"/>
      <c r="H11" s="17"/>
    </row>
    <row r="12" spans="1:8" ht="16" x14ac:dyDescent="0.2">
      <c r="A12" s="18" t="s">
        <v>10</v>
      </c>
      <c r="B12" s="9">
        <f>B5*B30</f>
        <v>0</v>
      </c>
      <c r="E12" s="4" t="s">
        <v>47</v>
      </c>
      <c r="F12">
        <v>9468</v>
      </c>
      <c r="G12" s="17"/>
      <c r="H12" s="17"/>
    </row>
    <row r="13" spans="1:8" ht="16" x14ac:dyDescent="0.2">
      <c r="A13" s="3" t="s">
        <v>11</v>
      </c>
      <c r="B13" s="9">
        <f>((B5*(1-(B32+B30)/2))*B33)</f>
        <v>377400</v>
      </c>
      <c r="C13" s="19"/>
      <c r="E13" s="4" t="s">
        <v>48</v>
      </c>
      <c r="F13">
        <v>7488</v>
      </c>
      <c r="G13" s="17"/>
      <c r="H13" s="17"/>
    </row>
    <row r="14" spans="1:8" ht="16" x14ac:dyDescent="0.2">
      <c r="A14" s="3" t="s">
        <v>12</v>
      </c>
      <c r="B14" s="9">
        <f>((B5*(1-(B32+B30)/2))*B34)</f>
        <v>58650</v>
      </c>
      <c r="C14" s="19"/>
      <c r="E14" s="4" t="s">
        <v>49</v>
      </c>
      <c r="F14">
        <v>6628</v>
      </c>
      <c r="G14" s="17"/>
      <c r="H14" s="17"/>
    </row>
    <row r="15" spans="1:8" ht="16" x14ac:dyDescent="0.2">
      <c r="A15" s="3" t="s">
        <v>13</v>
      </c>
      <c r="B15" s="9">
        <f>B40</f>
        <v>870063.15251088014</v>
      </c>
      <c r="C15" s="5"/>
      <c r="E15" s="4" t="s">
        <v>50</v>
      </c>
      <c r="F15">
        <v>6489</v>
      </c>
      <c r="G15" s="17"/>
      <c r="H15" s="17"/>
    </row>
    <row r="16" spans="1:8" ht="16" x14ac:dyDescent="0.2">
      <c r="A16" s="3" t="s">
        <v>14</v>
      </c>
      <c r="B16" s="9">
        <f>B27*B31*B7/1000</f>
        <v>214500</v>
      </c>
      <c r="C16" s="5"/>
      <c r="E16" s="4" t="s">
        <v>51</v>
      </c>
      <c r="F16" s="40"/>
      <c r="G16" s="17"/>
      <c r="H16" s="17"/>
    </row>
    <row r="17" spans="1:8" ht="16" x14ac:dyDescent="0.2">
      <c r="A17" s="3" t="s">
        <v>15</v>
      </c>
      <c r="B17" s="9">
        <v>500</v>
      </c>
      <c r="C17" s="5"/>
      <c r="E17" s="20" t="s">
        <v>16</v>
      </c>
      <c r="F17" s="20">
        <f>SUM(F7:F16)</f>
        <v>65751</v>
      </c>
      <c r="G17" s="17"/>
      <c r="H17" s="17"/>
    </row>
    <row r="18" spans="1:8" ht="16" x14ac:dyDescent="0.2">
      <c r="A18" s="3" t="s">
        <v>17</v>
      </c>
      <c r="B18" s="9">
        <f>-SUM(B15:B17)*B33</f>
        <v>-401473.3664290256</v>
      </c>
      <c r="C18" s="5"/>
      <c r="F18" s="17"/>
      <c r="G18" s="17"/>
      <c r="H18" s="17"/>
    </row>
    <row r="19" spans="1:8" ht="16" x14ac:dyDescent="0.2">
      <c r="A19" s="21" t="s">
        <v>18</v>
      </c>
      <c r="B19" s="23">
        <f>-SUM(B15:B17)*B34</f>
        <v>-62391.131269375604</v>
      </c>
      <c r="C19" s="5"/>
      <c r="E19" s="20" t="s">
        <v>19</v>
      </c>
      <c r="G19" s="17"/>
      <c r="H19" s="17"/>
    </row>
    <row r="20" spans="1:8" ht="16" x14ac:dyDescent="0.2">
      <c r="A20" s="3" t="s">
        <v>56</v>
      </c>
      <c r="B20" s="9">
        <f>SUM(B11:B19)</f>
        <v>1417248.6548124789</v>
      </c>
      <c r="E20" s="5" t="s">
        <v>20</v>
      </c>
      <c r="F20" s="41">
        <v>1000</v>
      </c>
      <c r="G20" s="25"/>
      <c r="H20" s="10"/>
    </row>
    <row r="21" spans="1:8" x14ac:dyDescent="0.2">
      <c r="A21" s="3"/>
      <c r="E21" s="5" t="s">
        <v>39</v>
      </c>
      <c r="F21" s="41">
        <v>25</v>
      </c>
      <c r="G21" s="10"/>
      <c r="H21" s="10"/>
    </row>
    <row r="22" spans="1:8" ht="16" x14ac:dyDescent="0.2">
      <c r="A22" s="26" t="s">
        <v>21</v>
      </c>
      <c r="B22" s="9">
        <f>B20-B5</f>
        <v>217248.65481247893</v>
      </c>
      <c r="C22" s="5"/>
      <c r="D22" s="5"/>
      <c r="E22" s="5" t="s">
        <v>22</v>
      </c>
      <c r="F22" s="24">
        <f>F20-F21</f>
        <v>975</v>
      </c>
      <c r="G22" s="10"/>
      <c r="H22" s="10"/>
    </row>
    <row r="23" spans="1:8" ht="16" x14ac:dyDescent="0.2">
      <c r="A23" s="3" t="s">
        <v>40</v>
      </c>
      <c r="B23" s="27">
        <f>B22/B5</f>
        <v>0.18104054567706576</v>
      </c>
      <c r="D23" s="10"/>
      <c r="F23" s="24"/>
      <c r="G23" s="10"/>
      <c r="H23" s="10"/>
    </row>
    <row r="24" spans="1:8" ht="16" x14ac:dyDescent="0.2">
      <c r="A24" s="3" t="s">
        <v>53</v>
      </c>
      <c r="B24" s="28">
        <f>B23/B27</f>
        <v>1.6458231425187795E-2</v>
      </c>
      <c r="C24" s="27"/>
      <c r="D24" s="10"/>
      <c r="F24" s="24"/>
      <c r="G24" s="10"/>
      <c r="H24" s="10"/>
    </row>
    <row r="25" spans="1:8" x14ac:dyDescent="0.2">
      <c r="A25" s="3"/>
      <c r="C25" s="5"/>
      <c r="D25" s="5"/>
      <c r="E25" s="4" t="s">
        <v>23</v>
      </c>
      <c r="F25" s="29" t="e">
        <f>F22/F16</f>
        <v>#DIV/0!</v>
      </c>
      <c r="G25" s="10"/>
      <c r="H25" s="10"/>
    </row>
    <row r="26" spans="1:8" x14ac:dyDescent="0.2">
      <c r="A26" s="6" t="s">
        <v>24</v>
      </c>
      <c r="B26" s="12"/>
      <c r="F26" s="10"/>
      <c r="G26" s="10"/>
      <c r="H26" s="10"/>
    </row>
    <row r="27" spans="1:8" x14ac:dyDescent="0.2">
      <c r="A27" s="10" t="s">
        <v>25</v>
      </c>
      <c r="B27" s="30">
        <v>11</v>
      </c>
      <c r="C27" s="5"/>
      <c r="D27" s="5"/>
      <c r="F27" s="10"/>
      <c r="G27" s="10"/>
      <c r="H27" s="10"/>
    </row>
    <row r="28" spans="1:8" ht="17" thickBot="1" x14ac:dyDescent="0.25">
      <c r="A28" s="18" t="s">
        <v>26</v>
      </c>
      <c r="B28" s="31">
        <v>0.11</v>
      </c>
      <c r="C28" s="32"/>
      <c r="E28" s="15" t="s">
        <v>2</v>
      </c>
      <c r="F28" s="16"/>
      <c r="G28" s="16"/>
      <c r="H28" s="10"/>
    </row>
    <row r="29" spans="1:8" x14ac:dyDescent="0.2">
      <c r="A29" s="10" t="s">
        <v>27</v>
      </c>
      <c r="B29" s="33">
        <v>0.02</v>
      </c>
      <c r="D29" s="5"/>
      <c r="F29" s="10"/>
      <c r="G29" s="10"/>
      <c r="H29" s="10"/>
    </row>
    <row r="30" spans="1:8" x14ac:dyDescent="0.2">
      <c r="A30" s="18" t="s">
        <v>10</v>
      </c>
      <c r="B30" s="35">
        <v>0</v>
      </c>
      <c r="D30" s="36"/>
      <c r="F30" s="10"/>
      <c r="G30" s="10"/>
      <c r="H30" s="10"/>
    </row>
    <row r="31" spans="1:8" x14ac:dyDescent="0.2">
      <c r="A31" s="10" t="s">
        <v>31</v>
      </c>
      <c r="B31" s="41">
        <v>30</v>
      </c>
      <c r="D31" s="5"/>
      <c r="F31" s="10"/>
      <c r="G31" s="10"/>
      <c r="H31" s="10"/>
    </row>
    <row r="32" spans="1:8" x14ac:dyDescent="0.2">
      <c r="A32" s="18" t="s">
        <v>30</v>
      </c>
      <c r="B32" s="44">
        <v>0.3</v>
      </c>
      <c r="E32" s="34"/>
      <c r="F32" s="10"/>
      <c r="G32" s="10"/>
      <c r="H32" s="10"/>
    </row>
    <row r="33" spans="1:8" x14ac:dyDescent="0.2">
      <c r="A33" s="18" t="s">
        <v>28</v>
      </c>
      <c r="B33" s="43">
        <f>37%</f>
        <v>0.37</v>
      </c>
      <c r="C33" s="18"/>
      <c r="D33" s="5"/>
      <c r="F33" s="10"/>
      <c r="G33" s="10"/>
      <c r="H33" s="10"/>
    </row>
    <row r="34" spans="1:8" x14ac:dyDescent="0.2">
      <c r="A34" s="18" t="s">
        <v>29</v>
      </c>
      <c r="B34" s="43">
        <f>5.75%</f>
        <v>5.7500000000000002E-2</v>
      </c>
      <c r="C34" s="18"/>
      <c r="D34" s="5"/>
      <c r="F34" s="10"/>
      <c r="G34" s="10"/>
      <c r="H34" s="10"/>
    </row>
    <row r="35" spans="1:8" ht="16" x14ac:dyDescent="0.2">
      <c r="A35" s="3" t="s">
        <v>36</v>
      </c>
      <c r="B35" s="46">
        <v>1.3</v>
      </c>
      <c r="D35" s="5"/>
    </row>
    <row r="36" spans="1:8" x14ac:dyDescent="0.2">
      <c r="A36" s="3"/>
      <c r="B36" s="46"/>
      <c r="D36" s="5"/>
    </row>
    <row r="37" spans="1:8" x14ac:dyDescent="0.2">
      <c r="A37" s="6" t="s">
        <v>32</v>
      </c>
      <c r="B37" s="8"/>
      <c r="D37" s="5"/>
      <c r="F37" s="10"/>
      <c r="G37" s="10"/>
      <c r="H37" s="10"/>
    </row>
    <row r="38" spans="1:8" ht="16" x14ac:dyDescent="0.2">
      <c r="A38" s="3" t="s">
        <v>33</v>
      </c>
      <c r="B38" s="28">
        <f>B39/B5</f>
        <v>5.9583333333333335E-2</v>
      </c>
    </row>
    <row r="39" spans="1:8" x14ac:dyDescent="0.2">
      <c r="A39" s="10" t="s">
        <v>34</v>
      </c>
      <c r="B39" s="37">
        <f>B7*B28</f>
        <v>71500</v>
      </c>
      <c r="C39" s="18"/>
      <c r="D39" s="5"/>
    </row>
    <row r="40" spans="1:8" x14ac:dyDescent="0.2">
      <c r="A40" s="10" t="s">
        <v>35</v>
      </c>
      <c r="B40" s="9">
        <f>IF(B29&lt;&gt;0,B39*((1-(1+B29)^B27))/(1-(1+B29)),B39*B27)</f>
        <v>870063.15251088014</v>
      </c>
      <c r="C40" s="18"/>
      <c r="D40" s="5"/>
    </row>
    <row r="42" spans="1:8" x14ac:dyDescent="0.2">
      <c r="A42" s="3"/>
      <c r="B42" s="39"/>
      <c r="C42" s="9"/>
      <c r="D42" s="5"/>
    </row>
    <row r="43" spans="1:8" ht="16" x14ac:dyDescent="0.2">
      <c r="A43" s="3" t="s">
        <v>37</v>
      </c>
      <c r="B43" s="9">
        <f>B39/12</f>
        <v>5958.333333333333</v>
      </c>
      <c r="C43" s="9"/>
      <c r="D43" s="5"/>
    </row>
    <row r="44" spans="1:8" ht="16" x14ac:dyDescent="0.2">
      <c r="A44" s="3" t="s">
        <v>38</v>
      </c>
      <c r="B44" s="9">
        <f>B39/4</f>
        <v>17875</v>
      </c>
      <c r="C44" s="38"/>
      <c r="D44" s="5"/>
    </row>
    <row r="45" spans="1:8" x14ac:dyDescent="0.2">
      <c r="A45" s="3"/>
      <c r="B45" s="9"/>
      <c r="C45" s="28"/>
    </row>
    <row r="47" spans="1:8" x14ac:dyDescent="0.2">
      <c r="A47" s="3"/>
      <c r="B47" s="19"/>
    </row>
    <row r="48" spans="1:8" x14ac:dyDescent="0.2">
      <c r="A48" s="3"/>
    </row>
    <row r="49" spans="1:11" s="10" customFormat="1" x14ac:dyDescent="0.2">
      <c r="A49" s="3"/>
      <c r="D49" s="3"/>
      <c r="E49" s="5"/>
      <c r="F49" s="5"/>
      <c r="G49" s="5"/>
      <c r="H49" s="5"/>
      <c r="I49" s="5"/>
      <c r="J49" s="5"/>
      <c r="K49" s="5"/>
    </row>
    <row r="50" spans="1:11" s="10" customFormat="1" x14ac:dyDescent="0.2">
      <c r="A50" s="3"/>
      <c r="D50" s="3"/>
      <c r="E50" s="5"/>
      <c r="F50" s="5"/>
      <c r="G50" s="5"/>
      <c r="H50" s="5"/>
      <c r="I50" s="5"/>
      <c r="J50" s="5"/>
      <c r="K50" s="5"/>
    </row>
    <row r="51" spans="1:11" s="10" customFormat="1" x14ac:dyDescent="0.2">
      <c r="A51" s="3"/>
      <c r="B51" s="22"/>
      <c r="D51" s="3"/>
      <c r="E51" s="5"/>
      <c r="F51" s="5"/>
      <c r="G51" s="5"/>
      <c r="H51" s="5"/>
      <c r="I51" s="5"/>
      <c r="J51" s="5"/>
      <c r="K51" s="5"/>
    </row>
    <row r="52" spans="1:11" s="10" customFormat="1" x14ac:dyDescent="0.2">
      <c r="A52" s="3"/>
      <c r="D52" s="3"/>
      <c r="E52" s="5"/>
      <c r="F52" s="5"/>
      <c r="G52" s="5"/>
      <c r="H52" s="5"/>
      <c r="I52" s="5"/>
      <c r="J52" s="5"/>
      <c r="K52" s="5"/>
    </row>
    <row r="57" spans="1:11" s="10" customFormat="1" x14ac:dyDescent="0.2">
      <c r="A57" s="5"/>
      <c r="B57" s="27"/>
      <c r="D57" s="3"/>
      <c r="E57" s="5"/>
      <c r="F57" s="5"/>
      <c r="G57" s="5"/>
      <c r="H57" s="5"/>
      <c r="I57" s="5"/>
      <c r="J57" s="5"/>
      <c r="K57" s="5"/>
    </row>
  </sheetData>
  <phoneticPr fontId="11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151D375D73A4B9AC3074E067D236C" ma:contentTypeVersion="18" ma:contentTypeDescription="Create a new document." ma:contentTypeScope="" ma:versionID="60876a62cc9e7602c422599a17bbb02c">
  <xsd:schema xmlns:xsd="http://www.w3.org/2001/XMLSchema" xmlns:xs="http://www.w3.org/2001/XMLSchema" xmlns:p="http://schemas.microsoft.com/office/2006/metadata/properties" xmlns:ns2="5546e763-8470-4395-ada0-8646e489a2fb" xmlns:ns3="28dd740d-e355-4ea0-ba72-0c9932cd3556" targetNamespace="http://schemas.microsoft.com/office/2006/metadata/properties" ma:root="true" ma:fieldsID="c86ec7b503980fbf35a2865e4764637c" ns2:_="" ns3:_="">
    <xsd:import namespace="5546e763-8470-4395-ada0-8646e489a2fb"/>
    <xsd:import namespace="28dd740d-e355-4ea0-ba72-0c9932cd35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46e763-8470-4395-ada0-8646e489a2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d9da304-f603-4fe5-b9a5-02678c9e0db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dd740d-e355-4ea0-ba72-0c9932cd355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181fc04-e01c-4bcb-9107-336ab8b51d2e}" ma:internalName="TaxCatchAll" ma:showField="CatchAllData" ma:web="28dd740d-e355-4ea0-ba72-0c9932cd35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73AADF-2214-44D9-8FB7-409C4879F7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46e763-8470-4395-ada0-8646e489a2fb"/>
    <ds:schemaRef ds:uri="28dd740d-e355-4ea0-ba72-0c9932cd35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9A6F46-1BF1-44FE-8735-8A7D880BCD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Ruth Amundsen</cp:lastModifiedBy>
  <cp:revision/>
  <dcterms:created xsi:type="dcterms:W3CDTF">2019-02-28T15:31:45Z</dcterms:created>
  <dcterms:modified xsi:type="dcterms:W3CDTF">2025-10-16T21:00:33Z</dcterms:modified>
  <cp:category/>
  <cp:contentStatus/>
</cp:coreProperties>
</file>